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44528E4-8E63-4DC1-99B9-FB08BE5F1BE6}" xr6:coauthVersionLast="47" xr6:coauthVersionMax="47" xr10:uidLastSave="{00000000-0000-0000-0000-000000000000}"/>
  <bookViews>
    <workbookView xWindow="-110" yWindow="-110" windowWidth="19420" windowHeight="10420" activeTab="5" xr2:uid="{C05BF1EC-D9EC-46AE-80ED-DBA9673889C1}"/>
  </bookViews>
  <sheets>
    <sheet name="Table 1" sheetId="2" r:id="rId1"/>
    <sheet name="Table 2" sheetId="3" r:id="rId2"/>
    <sheet name="Table 3" sheetId="4" r:id="rId3"/>
    <sheet name="Table 4" sheetId="5" r:id="rId4"/>
    <sheet name="New Table 5" sheetId="8" r:id="rId5"/>
    <sheet name="Table 6" sheetId="9" r:id="rId6"/>
  </sheets>
  <definedNames>
    <definedName name="_ftn1" localSheetId="4">'New Table 5'!#REF!</definedName>
    <definedName name="_ftnref1" localSheetId="4">'New Table 5'!$C$23</definedName>
    <definedName name="StartCe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5" l="1"/>
  <c r="E12" i="9"/>
  <c r="E13" i="9"/>
  <c r="E11" i="9"/>
  <c r="E10" i="9"/>
  <c r="E9" i="9"/>
  <c r="E8" i="9"/>
  <c r="E7" i="9"/>
  <c r="E6" i="9"/>
  <c r="D12" i="9"/>
  <c r="C12" i="9"/>
  <c r="D13" i="9"/>
  <c r="C13" i="9"/>
  <c r="H12" i="8"/>
  <c r="H13" i="8"/>
  <c r="I13" i="8" s="1"/>
  <c r="H11" i="8"/>
  <c r="I11" i="8" s="1"/>
  <c r="I12" i="8"/>
  <c r="J13" i="8" s="1"/>
  <c r="I8" i="8"/>
  <c r="H9" i="8"/>
  <c r="I9" i="8" s="1"/>
  <c r="J10" i="8" s="1"/>
  <c r="H8" i="8"/>
  <c r="G10" i="8"/>
  <c r="H10" i="8" s="1"/>
  <c r="I10" i="8" s="1"/>
  <c r="F10" i="8"/>
  <c r="E10" i="8"/>
  <c r="D10" i="8"/>
  <c r="G13" i="8"/>
  <c r="F13" i="8"/>
  <c r="E13" i="8"/>
  <c r="D13" i="8"/>
  <c r="G16" i="8"/>
  <c r="F16" i="8"/>
  <c r="E16" i="8"/>
  <c r="H16" i="8" s="1"/>
  <c r="I16" i="8" s="1"/>
  <c r="D16" i="8"/>
  <c r="H15" i="8"/>
  <c r="I15" i="8" s="1"/>
  <c r="J16" i="8" s="1"/>
  <c r="H14" i="8"/>
  <c r="I14" i="8" s="1"/>
  <c r="F8" i="5"/>
  <c r="F7" i="5"/>
  <c r="F6" i="5"/>
  <c r="F7" i="4"/>
  <c r="C9" i="4"/>
  <c r="F8" i="4" s="1"/>
  <c r="F9" i="4" s="1"/>
  <c r="C7" i="3"/>
  <c r="D6" i="3"/>
  <c r="D5" i="3"/>
  <c r="D4" i="3"/>
  <c r="E6" i="2"/>
  <c r="E5" i="2"/>
  <c r="E4" i="2"/>
  <c r="E7" i="2" s="1"/>
  <c r="D7" i="2"/>
  <c r="D7" i="3" l="1"/>
</calcChain>
</file>

<file path=xl/sharedStrings.xml><?xml version="1.0" encoding="utf-8"?>
<sst xmlns="http://schemas.openxmlformats.org/spreadsheetml/2006/main" count="83" uniqueCount="61">
  <si>
    <t>Debt</t>
  </si>
  <si>
    <t>Equity</t>
  </si>
  <si>
    <t xml:space="preserve">Weight </t>
  </si>
  <si>
    <t>Value</t>
  </si>
  <si>
    <t>Table 1</t>
  </si>
  <si>
    <t>Carrier</t>
  </si>
  <si>
    <t>CSX</t>
  </si>
  <si>
    <t>NS</t>
  </si>
  <si>
    <t>UP</t>
  </si>
  <si>
    <t>MS COC</t>
  </si>
  <si>
    <t>Weight</t>
  </si>
  <si>
    <t>Weighted Average</t>
  </si>
  <si>
    <t>Morgan Stanley COC Values for 2022</t>
  </si>
  <si>
    <t>Morgan Stanley COC Values for 2021</t>
  </si>
  <si>
    <t>Derivation of Cost of Capital for Industry Composite Sample</t>
  </si>
  <si>
    <t>CAPM Cost of Equity</t>
  </si>
  <si>
    <t>Industry Cost of Capital</t>
  </si>
  <si>
    <t>Risk-Free Rate</t>
  </si>
  <si>
    <t>Component</t>
  </si>
  <si>
    <t>Cost</t>
  </si>
  <si>
    <t>Market-Risk Premium</t>
  </si>
  <si>
    <t>Beta (Composite Sample)</t>
  </si>
  <si>
    <t>Cost of Equity</t>
  </si>
  <si>
    <t>Average COC</t>
  </si>
  <si>
    <t>Using Kroll MRP and AAR RFR, Beta, Capital Structure, and Cost of Debt</t>
  </si>
  <si>
    <t>Table 3</t>
  </si>
  <si>
    <t>Table 4</t>
  </si>
  <si>
    <t xml:space="preserve">Weighted Average Cost of Capital Using 8% </t>
  </si>
  <si>
    <t>COE with AAR’s Capital Structure and Cost of Debt</t>
  </si>
  <si>
    <t>Overall CC</t>
  </si>
  <si>
    <t>Table 5</t>
  </si>
  <si>
    <t>Weighted Value</t>
  </si>
  <si>
    <t xml:space="preserve">Impact of Forecasted Growth in Actual Earnings and </t>
  </si>
  <si>
    <t>Buybacks on Credit Suisse Forecasted EPS Growth Rates</t>
  </si>
  <si>
    <t>Metric</t>
  </si>
  <si>
    <t>Earnings</t>
  </si>
  <si>
    <t>Shares</t>
  </si>
  <si>
    <t>EPS</t>
  </si>
  <si>
    <t>Total Growth</t>
  </si>
  <si>
    <t>2021 Actual</t>
  </si>
  <si>
    <t>Notes:</t>
  </si>
  <si>
    <t>CAGR</t>
  </si>
  <si>
    <t>Buyback impact</t>
  </si>
  <si>
    <t>2.  Some minor deviations from Credit Suisse and Refinitiv values apparently due to rounding.</t>
  </si>
  <si>
    <t>Table 6</t>
  </si>
  <si>
    <t>Comparison of MSDCF and CAPM COE Values 2017-2022</t>
  </si>
  <si>
    <t xml:space="preserve">MSDCF </t>
  </si>
  <si>
    <t>CAPM</t>
  </si>
  <si>
    <t>Year</t>
  </si>
  <si>
    <t>Std. Dev.</t>
  </si>
  <si>
    <t>Average</t>
  </si>
  <si>
    <t xml:space="preserve">Source:  Morgan Stanley late 2022/2023 WACC values and AAR weighting for 2022.  </t>
  </si>
  <si>
    <t xml:space="preserve">Source:  Morgan Stanley late 2021/2022 WACC values and STBR weighting for 2021.  </t>
  </si>
  <si>
    <t>Sources:  Kroll MR:P and AAR RFR, Beta, Capital Structure, and Debt for 2023</t>
  </si>
  <si>
    <t>Source:  JP Morgan COE and AAR Capital Structure and Cost of Debt</t>
  </si>
  <si>
    <t>Source:</t>
  </si>
  <si>
    <t>Credit Suisse Reports from 4Q22 referenced in AAR presentation of Refinitiv Data</t>
  </si>
  <si>
    <t>1.  Refinitiv growth values for CSX and NS use a 2021 base, but a 2022 base for UP.</t>
  </si>
  <si>
    <t>3.  Change in shares depicted as impact on EPS due to decreasing shares.</t>
  </si>
  <si>
    <t>4.  Buyback impact relative to earnings growth calculated on an arithmetic basis.</t>
  </si>
  <si>
    <t>STB Cost of Capital Decisions for 2017-2021 and AAR Filing 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</si>
</sst>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000"/>
    <numFmt numFmtId="165" formatCode="&quot;$&quot;#,##0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10" fontId="0" fillId="0" borderId="0" xfId="0" applyNumberFormat="1"/>
    <xf numFmtId="0" fontId="1" fillId="0" borderId="4" xfId="0" applyFont="1" applyBorder="1" applyAlignment="1">
      <alignment vertical="center"/>
    </xf>
    <xf numFmtId="10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0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7" xfId="0" applyFont="1" applyBorder="1"/>
    <xf numFmtId="10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vertical="top"/>
    </xf>
    <xf numFmtId="0" fontId="0" fillId="0" borderId="19" xfId="0" applyBorder="1" applyAlignment="1">
      <alignment vertical="center"/>
    </xf>
    <xf numFmtId="10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6" fontId="0" fillId="2" borderId="0" xfId="0" applyNumberFormat="1" applyFill="1"/>
    <xf numFmtId="3" fontId="0" fillId="2" borderId="0" xfId="0" applyNumberFormat="1" applyFill="1"/>
    <xf numFmtId="166" fontId="0" fillId="2" borderId="0" xfId="0" applyNumberFormat="1" applyFill="1"/>
    <xf numFmtId="165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72B4-8C70-4795-B734-CFA56935C954}">
  <dimension ref="B1:E8"/>
  <sheetViews>
    <sheetView workbookViewId="0">
      <selection activeCell="B8" sqref="B8:I8"/>
    </sheetView>
  </sheetViews>
  <sheetFormatPr defaultRowHeight="14.5" x14ac:dyDescent="0.35"/>
  <cols>
    <col min="5" max="5" width="11.81640625" bestFit="1" customWidth="1"/>
  </cols>
  <sheetData>
    <row r="1" spans="2:5" x14ac:dyDescent="0.35">
      <c r="D1" t="s">
        <v>4</v>
      </c>
    </row>
    <row r="2" spans="2:5" x14ac:dyDescent="0.35">
      <c r="B2" t="s">
        <v>12</v>
      </c>
    </row>
    <row r="3" spans="2:5" x14ac:dyDescent="0.35">
      <c r="B3" t="s">
        <v>5</v>
      </c>
      <c r="C3" t="s">
        <v>9</v>
      </c>
      <c r="D3" t="s">
        <v>10</v>
      </c>
      <c r="E3" t="s">
        <v>11</v>
      </c>
    </row>
    <row r="4" spans="2:5" x14ac:dyDescent="0.35">
      <c r="B4" t="s">
        <v>6</v>
      </c>
      <c r="C4" s="1">
        <v>7.2999999999999995E-2</v>
      </c>
      <c r="D4" s="1">
        <v>0.26106000000000001</v>
      </c>
      <c r="E4" s="1">
        <f>C4*D4</f>
        <v>1.9057379999999999E-2</v>
      </c>
    </row>
    <row r="5" spans="2:5" x14ac:dyDescent="0.35">
      <c r="B5" t="s">
        <v>7</v>
      </c>
      <c r="C5" s="1">
        <v>7.0999999999999994E-2</v>
      </c>
      <c r="D5" s="1">
        <v>0.22867000000000001</v>
      </c>
      <c r="E5" s="1">
        <f>C5*D5</f>
        <v>1.6235569999999998E-2</v>
      </c>
    </row>
    <row r="6" spans="2:5" x14ac:dyDescent="0.35">
      <c r="B6" t="s">
        <v>8</v>
      </c>
      <c r="C6" s="1">
        <v>6.9000000000000006E-2</v>
      </c>
      <c r="D6" s="1">
        <v>0.51027</v>
      </c>
      <c r="E6" s="1">
        <f>C6*D6</f>
        <v>3.5208630000000005E-2</v>
      </c>
    </row>
    <row r="7" spans="2:5" x14ac:dyDescent="0.35">
      <c r="D7" s="1">
        <f>SUM(D4:D6)</f>
        <v>1</v>
      </c>
      <c r="E7" s="1">
        <f>SUM(E4:E6)</f>
        <v>7.0501580000000008E-2</v>
      </c>
    </row>
    <row r="8" spans="2:5" x14ac:dyDescent="0.35">
      <c r="B8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6350-849B-4F2B-BBEF-3D09E0A881F1}">
  <dimension ref="A1:D8"/>
  <sheetViews>
    <sheetView workbookViewId="0">
      <selection activeCell="C11" sqref="C11"/>
    </sheetView>
  </sheetViews>
  <sheetFormatPr defaultRowHeight="14.5" x14ac:dyDescent="0.35"/>
  <cols>
    <col min="3" max="3" width="9.81640625" bestFit="1" customWidth="1"/>
  </cols>
  <sheetData>
    <row r="1" spans="1:4" x14ac:dyDescent="0.35">
      <c r="C1" t="s">
        <v>4</v>
      </c>
    </row>
    <row r="2" spans="1:4" x14ac:dyDescent="0.35">
      <c r="B2" t="s">
        <v>13</v>
      </c>
    </row>
    <row r="3" spans="1:4" x14ac:dyDescent="0.35">
      <c r="A3" t="s">
        <v>5</v>
      </c>
      <c r="B3" t="s">
        <v>9</v>
      </c>
      <c r="C3" t="s">
        <v>10</v>
      </c>
      <c r="D3" t="s">
        <v>11</v>
      </c>
    </row>
    <row r="4" spans="1:4" x14ac:dyDescent="0.35">
      <c r="A4" t="s">
        <v>6</v>
      </c>
      <c r="B4" s="1">
        <v>7.4999999999999997E-2</v>
      </c>
      <c r="C4" s="1">
        <v>0.25840000000000002</v>
      </c>
      <c r="D4" s="1">
        <f>B4*C4</f>
        <v>1.9380000000000001E-2</v>
      </c>
    </row>
    <row r="5" spans="1:4" x14ac:dyDescent="0.35">
      <c r="A5" t="s">
        <v>7</v>
      </c>
      <c r="B5" s="1">
        <v>7.4999999999999997E-2</v>
      </c>
      <c r="C5" s="1">
        <v>0.23130000000000001</v>
      </c>
      <c r="D5" s="1">
        <f>B5*C5</f>
        <v>1.7347499999999998E-2</v>
      </c>
    </row>
    <row r="6" spans="1:4" x14ac:dyDescent="0.35">
      <c r="A6" t="s">
        <v>8</v>
      </c>
      <c r="B6" s="1">
        <v>7.1999999999999995E-2</v>
      </c>
      <c r="C6" s="1">
        <v>0.51029999999999998</v>
      </c>
      <c r="D6" s="1">
        <f>B6*C6</f>
        <v>3.6741599999999992E-2</v>
      </c>
    </row>
    <row r="7" spans="1:4" x14ac:dyDescent="0.35">
      <c r="C7" s="1">
        <f>SUM(C4:C6)</f>
        <v>1</v>
      </c>
      <c r="D7" s="1">
        <f>SUM(D4:D6)</f>
        <v>7.3469099999999982E-2</v>
      </c>
    </row>
    <row r="8" spans="1:4" x14ac:dyDescent="0.35">
      <c r="A8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3455-A10D-413E-B32D-94D64A5029CB}">
  <dimension ref="B1:F11"/>
  <sheetViews>
    <sheetView workbookViewId="0">
      <selection activeCell="B12" sqref="B12"/>
    </sheetView>
  </sheetViews>
  <sheetFormatPr defaultRowHeight="14.5" x14ac:dyDescent="0.35"/>
  <cols>
    <col min="2" max="2" width="27.90625" customWidth="1"/>
    <col min="3" max="3" width="14" customWidth="1"/>
    <col min="6" max="6" width="19.08984375" customWidth="1"/>
  </cols>
  <sheetData>
    <row r="1" spans="2:6" ht="15" thickBot="1" x14ac:dyDescent="0.4"/>
    <row r="2" spans="2:6" ht="17" thickBot="1" x14ac:dyDescent="0.4">
      <c r="B2" s="31" t="s">
        <v>25</v>
      </c>
      <c r="C2" s="32"/>
      <c r="D2" s="32"/>
      <c r="E2" s="32"/>
      <c r="F2" s="33"/>
    </row>
    <row r="3" spans="2:6" ht="16.5" x14ac:dyDescent="0.35">
      <c r="B3" s="34" t="s">
        <v>14</v>
      </c>
      <c r="C3" s="35"/>
      <c r="D3" s="35"/>
      <c r="E3" s="35"/>
      <c r="F3" s="36"/>
    </row>
    <row r="4" spans="2:6" ht="17" thickBot="1" x14ac:dyDescent="0.4">
      <c r="B4" s="37" t="s">
        <v>24</v>
      </c>
      <c r="C4" s="38"/>
      <c r="D4" s="38"/>
      <c r="E4" s="38"/>
      <c r="F4" s="39"/>
    </row>
    <row r="5" spans="2:6" ht="17" thickBot="1" x14ac:dyDescent="0.4">
      <c r="B5" s="40" t="s">
        <v>15</v>
      </c>
      <c r="C5" s="41"/>
      <c r="D5" s="40" t="s">
        <v>16</v>
      </c>
      <c r="E5" s="42"/>
      <c r="F5" s="41"/>
    </row>
    <row r="6" spans="2:6" ht="17" thickBot="1" x14ac:dyDescent="0.4">
      <c r="B6" s="2" t="s">
        <v>17</v>
      </c>
      <c r="C6" s="9">
        <v>3.3000000000000002E-2</v>
      </c>
      <c r="D6" s="4" t="s">
        <v>18</v>
      </c>
      <c r="E6" s="4" t="s">
        <v>10</v>
      </c>
      <c r="F6" s="4" t="s">
        <v>19</v>
      </c>
    </row>
    <row r="7" spans="2:6" ht="17" thickBot="1" x14ac:dyDescent="0.4">
      <c r="B7" s="2" t="s">
        <v>20</v>
      </c>
      <c r="C7" s="9">
        <v>0.06</v>
      </c>
      <c r="D7" s="4" t="s">
        <v>0</v>
      </c>
      <c r="E7" s="3">
        <v>0.18290000000000001</v>
      </c>
      <c r="F7" s="3">
        <f>E7*4.28%</f>
        <v>7.8281200000000009E-3</v>
      </c>
    </row>
    <row r="8" spans="2:6" ht="17" thickBot="1" x14ac:dyDescent="0.4">
      <c r="B8" s="2" t="s">
        <v>21</v>
      </c>
      <c r="C8" s="10">
        <v>0.99460000000000004</v>
      </c>
      <c r="D8" s="4" t="s">
        <v>1</v>
      </c>
      <c r="E8" s="3">
        <v>0.81710000000000005</v>
      </c>
      <c r="F8" s="3">
        <f>C9*E8</f>
        <v>7.5725559600000006E-2</v>
      </c>
    </row>
    <row r="9" spans="2:6" ht="17" thickBot="1" x14ac:dyDescent="0.4">
      <c r="B9" s="5" t="s">
        <v>22</v>
      </c>
      <c r="C9" s="11">
        <f>C6+(C7*C8)</f>
        <v>9.2676000000000008E-2</v>
      </c>
      <c r="D9" s="7" t="s">
        <v>23</v>
      </c>
      <c r="E9" s="8"/>
      <c r="F9" s="6">
        <f>SUM(F7:F8)</f>
        <v>8.3553679600000014E-2</v>
      </c>
    </row>
    <row r="11" spans="2:6" ht="16.5" x14ac:dyDescent="0.35">
      <c r="B11" s="27" t="s">
        <v>53</v>
      </c>
    </row>
  </sheetData>
  <mergeCells count="5">
    <mergeCell ref="B2:F2"/>
    <mergeCell ref="B3:F3"/>
    <mergeCell ref="B4:F4"/>
    <mergeCell ref="B5:C5"/>
    <mergeCell ref="D5:F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C348-DA35-4B3E-B549-E543010016A4}">
  <dimension ref="C1:F13"/>
  <sheetViews>
    <sheetView workbookViewId="0">
      <selection activeCell="D13" sqref="D13"/>
    </sheetView>
  </sheetViews>
  <sheetFormatPr defaultRowHeight="14.5" x14ac:dyDescent="0.35"/>
  <cols>
    <col min="2" max="2" width="0.90625" customWidth="1"/>
    <col min="3" max="3" width="10.7265625" customWidth="1"/>
    <col min="6" max="6" width="18.453125" customWidth="1"/>
  </cols>
  <sheetData>
    <row r="1" spans="3:6" ht="15" thickBot="1" x14ac:dyDescent="0.4"/>
    <row r="2" spans="3:6" x14ac:dyDescent="0.35">
      <c r="C2" s="43" t="s">
        <v>26</v>
      </c>
      <c r="D2" s="44"/>
      <c r="E2" s="44"/>
      <c r="F2" s="45"/>
    </row>
    <row r="3" spans="3:6" x14ac:dyDescent="0.35">
      <c r="C3" s="46" t="s">
        <v>27</v>
      </c>
      <c r="D3" s="47"/>
      <c r="E3" s="47"/>
      <c r="F3" s="48"/>
    </row>
    <row r="4" spans="3:6" ht="15" thickBot="1" x14ac:dyDescent="0.4">
      <c r="C4" s="49" t="s">
        <v>28</v>
      </c>
      <c r="D4" s="50"/>
      <c r="E4" s="50"/>
      <c r="F4" s="51"/>
    </row>
    <row r="5" spans="3:6" ht="15" thickBot="1" x14ac:dyDescent="0.4">
      <c r="C5" s="13"/>
      <c r="D5" s="12" t="s">
        <v>2</v>
      </c>
      <c r="E5" s="12" t="s">
        <v>3</v>
      </c>
      <c r="F5" s="12" t="s">
        <v>31</v>
      </c>
    </row>
    <row r="6" spans="3:6" ht="15" thickBot="1" x14ac:dyDescent="0.4">
      <c r="C6" s="14" t="s">
        <v>0</v>
      </c>
      <c r="D6" s="15">
        <v>0.18290000000000001</v>
      </c>
      <c r="E6" s="15">
        <v>4.2799999999999998E-2</v>
      </c>
      <c r="F6" s="15">
        <f>D6*E6</f>
        <v>7.8281199999999992E-3</v>
      </c>
    </row>
    <row r="7" spans="3:6" ht="15" thickBot="1" x14ac:dyDescent="0.4">
      <c r="C7" s="14" t="s">
        <v>1</v>
      </c>
      <c r="D7" s="15">
        <v>0.81710000000000005</v>
      </c>
      <c r="E7" s="15">
        <v>0.08</v>
      </c>
      <c r="F7" s="15">
        <f>D7*E7</f>
        <v>6.5368000000000009E-2</v>
      </c>
    </row>
    <row r="8" spans="3:6" ht="15" thickBot="1" x14ac:dyDescent="0.4">
      <c r="C8" s="14" t="s">
        <v>29</v>
      </c>
      <c r="D8" s="16"/>
      <c r="E8" s="16"/>
      <c r="F8" s="15">
        <f>SUM(F6:F7)</f>
        <v>7.3196120000000003E-2</v>
      </c>
    </row>
    <row r="9" spans="3:6" x14ac:dyDescent="0.35">
      <c r="F9" s="1"/>
    </row>
    <row r="10" spans="3:6" x14ac:dyDescent="0.35">
      <c r="C10" s="28" t="s">
        <v>54</v>
      </c>
    </row>
    <row r="13" spans="3:6" x14ac:dyDescent="0.35">
      <c r="D13" s="17">
        <f>1/95</f>
        <v>1.0526315789473684E-2</v>
      </c>
    </row>
  </sheetData>
  <mergeCells count="3">
    <mergeCell ref="C2:F2"/>
    <mergeCell ref="C3:F3"/>
    <mergeCell ref="C4:F4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3ADD-5B2E-4F11-B34C-E230195FB6FD}">
  <dimension ref="B3:M23"/>
  <sheetViews>
    <sheetView topLeftCell="A11" workbookViewId="0">
      <selection activeCell="E20" sqref="E20"/>
    </sheetView>
  </sheetViews>
  <sheetFormatPr defaultRowHeight="14.5" x14ac:dyDescent="0.35"/>
  <cols>
    <col min="4" max="4" width="11.1796875" customWidth="1"/>
    <col min="8" max="8" width="11.90625" customWidth="1"/>
    <col min="9" max="9" width="11.6328125" customWidth="1"/>
    <col min="10" max="10" width="14.453125" customWidth="1"/>
  </cols>
  <sheetData>
    <row r="3" spans="2:13" x14ac:dyDescent="0.35">
      <c r="E3" t="s">
        <v>30</v>
      </c>
    </row>
    <row r="4" spans="2:13" x14ac:dyDescent="0.35">
      <c r="C4" t="s">
        <v>32</v>
      </c>
    </row>
    <row r="5" spans="2:13" x14ac:dyDescent="0.35">
      <c r="C5" t="s">
        <v>33</v>
      </c>
    </row>
    <row r="7" spans="2:13" x14ac:dyDescent="0.35">
      <c r="B7" t="s">
        <v>5</v>
      </c>
      <c r="C7" t="s">
        <v>34</v>
      </c>
      <c r="D7" s="26" t="s">
        <v>39</v>
      </c>
      <c r="E7" s="26">
        <v>2022</v>
      </c>
      <c r="F7" s="26">
        <v>2023</v>
      </c>
      <c r="G7" s="26">
        <v>2024</v>
      </c>
      <c r="H7" s="26" t="s">
        <v>38</v>
      </c>
      <c r="I7" s="26" t="s">
        <v>41</v>
      </c>
      <c r="J7" t="s">
        <v>42</v>
      </c>
    </row>
    <row r="8" spans="2:13" x14ac:dyDescent="0.35">
      <c r="B8" t="s">
        <v>6</v>
      </c>
      <c r="C8" t="s">
        <v>35</v>
      </c>
      <c r="D8" s="21">
        <v>3516</v>
      </c>
      <c r="E8" s="19">
        <v>4040</v>
      </c>
      <c r="F8" s="19">
        <v>4184</v>
      </c>
      <c r="G8" s="19">
        <v>4418</v>
      </c>
      <c r="H8" s="1">
        <f>(G8/D8)-1</f>
        <v>0.2565415244596132</v>
      </c>
      <c r="I8" s="1">
        <f t="shared" ref="I8:I13" si="0">POWER(1+H8, 1/3)-1</f>
        <v>7.9093181552781333E-2</v>
      </c>
      <c r="K8" s="1"/>
      <c r="L8" s="1"/>
    </row>
    <row r="9" spans="2:13" x14ac:dyDescent="0.35">
      <c r="C9" t="s">
        <v>36</v>
      </c>
      <c r="D9" s="22">
        <v>2255</v>
      </c>
      <c r="E9" s="18">
        <v>2145</v>
      </c>
      <c r="F9" s="18">
        <v>2044</v>
      </c>
      <c r="G9" s="18">
        <v>1963</v>
      </c>
      <c r="H9" s="1">
        <f>(D9/G9)-1</f>
        <v>0.14875191034131441</v>
      </c>
      <c r="I9" s="1">
        <f t="shared" si="0"/>
        <v>4.7310398438279222E-2</v>
      </c>
      <c r="K9" s="1"/>
      <c r="L9" s="1"/>
    </row>
    <row r="10" spans="2:13" x14ac:dyDescent="0.35">
      <c r="C10" t="s">
        <v>37</v>
      </c>
      <c r="D10" s="23">
        <f>D8/D9</f>
        <v>1.5592017738359201</v>
      </c>
      <c r="E10" s="20">
        <f>E8/E9</f>
        <v>1.8834498834498834</v>
      </c>
      <c r="F10" s="20">
        <f>F8/F9</f>
        <v>2.0469667318982387</v>
      </c>
      <c r="G10" s="20">
        <f>G8/G9</f>
        <v>2.2506367804381049</v>
      </c>
      <c r="H10" s="1">
        <f>G10/D10-1</f>
        <v>0.44345447664616811</v>
      </c>
      <c r="I10" s="1">
        <f t="shared" si="0"/>
        <v>0.13014550992407381</v>
      </c>
      <c r="J10" s="1">
        <f>I9/(I8+I9)</f>
        <v>0.37428052624478741</v>
      </c>
      <c r="K10" s="1"/>
      <c r="L10" s="1"/>
      <c r="M10" s="1"/>
    </row>
    <row r="11" spans="2:13" x14ac:dyDescent="0.35">
      <c r="B11" t="s">
        <v>7</v>
      </c>
      <c r="C11" t="s">
        <v>35</v>
      </c>
      <c r="D11" s="24">
        <v>3005</v>
      </c>
      <c r="E11" s="19">
        <v>3187</v>
      </c>
      <c r="F11" s="19">
        <v>3307</v>
      </c>
      <c r="G11" s="19">
        <v>3516</v>
      </c>
      <c r="H11" s="1">
        <f>G11/D11-1</f>
        <v>0.17004991680532444</v>
      </c>
      <c r="I11" s="1">
        <f t="shared" si="0"/>
        <v>5.3743228214692795E-2</v>
      </c>
      <c r="K11" s="1"/>
      <c r="L11" s="1"/>
    </row>
    <row r="12" spans="2:13" x14ac:dyDescent="0.35">
      <c r="C12" t="s">
        <v>36</v>
      </c>
      <c r="D12" s="25">
        <v>248</v>
      </c>
      <c r="E12">
        <v>236</v>
      </c>
      <c r="F12">
        <v>226</v>
      </c>
      <c r="G12">
        <v>218</v>
      </c>
      <c r="H12" s="1">
        <f>(D12/G12)-1</f>
        <v>0.13761467889908263</v>
      </c>
      <c r="I12" s="1">
        <f t="shared" si="0"/>
        <v>4.3914818293352198E-2</v>
      </c>
      <c r="K12" s="1"/>
      <c r="L12" s="1"/>
    </row>
    <row r="13" spans="2:13" x14ac:dyDescent="0.35">
      <c r="C13" t="s">
        <v>37</v>
      </c>
      <c r="D13" s="23">
        <f>D11/D12</f>
        <v>12.116935483870968</v>
      </c>
      <c r="E13" s="20">
        <f>E11/E12</f>
        <v>13.504237288135593</v>
      </c>
      <c r="F13" s="20">
        <f>F11/F12</f>
        <v>14.632743362831858</v>
      </c>
      <c r="G13" s="20">
        <f>G11/G12</f>
        <v>16.128440366972477</v>
      </c>
      <c r="H13" s="1">
        <f>G13/D13-1</f>
        <v>0.33106596040238734</v>
      </c>
      <c r="I13" s="1">
        <f t="shared" si="0"/>
        <v>0.10001817060959151</v>
      </c>
      <c r="J13" s="1">
        <f>I12/(I11+I12)</f>
        <v>0.44967946691145955</v>
      </c>
      <c r="K13" s="1"/>
      <c r="L13" s="1"/>
    </row>
    <row r="14" spans="2:13" x14ac:dyDescent="0.35">
      <c r="B14" t="s">
        <v>8</v>
      </c>
      <c r="C14" t="s">
        <v>35</v>
      </c>
      <c r="D14" s="18">
        <v>6523</v>
      </c>
      <c r="E14" s="22">
        <v>7184</v>
      </c>
      <c r="F14" s="18">
        <v>7503</v>
      </c>
      <c r="G14" s="18">
        <v>8047</v>
      </c>
      <c r="H14" s="1">
        <f>G14/E14-1</f>
        <v>0.12012806236080187</v>
      </c>
      <c r="I14" s="1">
        <f>SQRT(H14+1)-1</f>
        <v>5.8361026474804456E-2</v>
      </c>
    </row>
    <row r="15" spans="2:13" x14ac:dyDescent="0.35">
      <c r="C15" t="s">
        <v>36</v>
      </c>
      <c r="D15">
        <v>655</v>
      </c>
      <c r="E15" s="25">
        <v>625</v>
      </c>
      <c r="F15">
        <v>598</v>
      </c>
      <c r="G15">
        <v>571</v>
      </c>
      <c r="H15" s="1">
        <f>(E15/G15)-1</f>
        <v>9.4570928196147097E-2</v>
      </c>
      <c r="I15" s="1">
        <f>SQRT(1+H15)-1</f>
        <v>4.6217438296717983E-2</v>
      </c>
    </row>
    <row r="16" spans="2:13" x14ac:dyDescent="0.35">
      <c r="C16" t="s">
        <v>37</v>
      </c>
      <c r="D16" s="20">
        <f>D14/D15</f>
        <v>9.9587786259541993</v>
      </c>
      <c r="E16" s="23">
        <f>E14/E15</f>
        <v>11.494400000000001</v>
      </c>
      <c r="F16" s="20">
        <f>F14/F15</f>
        <v>12.546822742474916</v>
      </c>
      <c r="G16" s="20">
        <f>G14/G15</f>
        <v>14.092819614711033</v>
      </c>
      <c r="H16" s="1">
        <f>G16/E16-1</f>
        <v>0.22605961291681442</v>
      </c>
      <c r="I16" s="1">
        <f>SQRT(H16+1)-1</f>
        <v>0.10727576191155497</v>
      </c>
      <c r="J16" s="1">
        <f>I15/(I14+I15)</f>
        <v>0.44194030193206052</v>
      </c>
    </row>
    <row r="18" spans="2:8" x14ac:dyDescent="0.35">
      <c r="B18" t="s">
        <v>55</v>
      </c>
      <c r="C18" t="s">
        <v>56</v>
      </c>
      <c r="H18" s="1"/>
    </row>
    <row r="19" spans="2:8" x14ac:dyDescent="0.35">
      <c r="B19" t="s">
        <v>40</v>
      </c>
      <c r="C19" s="29" t="s">
        <v>57</v>
      </c>
    </row>
    <row r="20" spans="2:8" x14ac:dyDescent="0.35">
      <c r="C20" s="29" t="s">
        <v>43</v>
      </c>
    </row>
    <row r="21" spans="2:8" x14ac:dyDescent="0.35">
      <c r="C21" s="29" t="s">
        <v>58</v>
      </c>
    </row>
    <row r="22" spans="2:8" x14ac:dyDescent="0.35">
      <c r="C22" s="29" t="s">
        <v>59</v>
      </c>
    </row>
    <row r="23" spans="2:8" x14ac:dyDescent="0.35">
      <c r="C23" s="30"/>
    </row>
  </sheetData>
  <pageMargins left="0.7" right="0.7" top="0.75" bottom="0.75" header="0.3" footer="0.3"/>
  <pageSetup orientation="portrait" verticalDpi="0" r:id="rId1"/>
  <ignoredErrors>
    <ignoredError sqref="H15:I1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5A1A-7BB6-45AF-8386-BA1E7E11C76B}">
  <dimension ref="B2:E16"/>
  <sheetViews>
    <sheetView tabSelected="1" workbookViewId="0">
      <selection activeCell="B14" sqref="B14"/>
    </sheetView>
  </sheetViews>
  <sheetFormatPr defaultRowHeight="14.5" x14ac:dyDescent="0.35"/>
  <cols>
    <col min="5" max="5" width="9.36328125" bestFit="1" customWidth="1"/>
  </cols>
  <sheetData>
    <row r="2" spans="2:5" x14ac:dyDescent="0.35">
      <c r="C2" t="s">
        <v>44</v>
      </c>
    </row>
    <row r="3" spans="2:5" x14ac:dyDescent="0.35">
      <c r="B3" t="s">
        <v>45</v>
      </c>
    </row>
    <row r="5" spans="2:5" x14ac:dyDescent="0.35">
      <c r="B5" t="s">
        <v>48</v>
      </c>
      <c r="C5" t="s">
        <v>46</v>
      </c>
      <c r="D5" t="s">
        <v>47</v>
      </c>
    </row>
    <row r="6" spans="2:5" x14ac:dyDescent="0.35">
      <c r="B6">
        <v>2017</v>
      </c>
      <c r="C6" s="1">
        <v>0.12180000000000001</v>
      </c>
      <c r="D6" s="1">
        <v>0.1074</v>
      </c>
      <c r="E6" s="1">
        <f>(C6+D6)/2</f>
        <v>0.11460000000000001</v>
      </c>
    </row>
    <row r="7" spans="2:5" x14ac:dyDescent="0.35">
      <c r="B7">
        <v>2018</v>
      </c>
      <c r="C7" s="1">
        <v>0.1701</v>
      </c>
      <c r="D7" s="1">
        <v>0.107</v>
      </c>
      <c r="E7" s="1">
        <f t="shared" ref="E7:E11" si="0">(C7+D7)/2</f>
        <v>0.13855000000000001</v>
      </c>
    </row>
    <row r="8" spans="2:5" x14ac:dyDescent="0.35">
      <c r="B8">
        <v>2019</v>
      </c>
      <c r="C8" s="1">
        <v>0.11119999999999999</v>
      </c>
      <c r="D8" s="1">
        <v>0.1022</v>
      </c>
      <c r="E8" s="1">
        <f t="shared" si="0"/>
        <v>0.10669999999999999</v>
      </c>
    </row>
    <row r="9" spans="2:5" x14ac:dyDescent="0.35">
      <c r="B9">
        <v>2020</v>
      </c>
      <c r="C9" s="1">
        <v>9.5200000000000007E-2</v>
      </c>
      <c r="D9" s="1">
        <v>9.1399999999999995E-2</v>
      </c>
      <c r="E9" s="1">
        <f t="shared" si="0"/>
        <v>9.3299999999999994E-2</v>
      </c>
    </row>
    <row r="10" spans="2:5" x14ac:dyDescent="0.35">
      <c r="B10">
        <v>2021</v>
      </c>
      <c r="C10" s="1">
        <v>0.1409</v>
      </c>
      <c r="D10" s="1">
        <v>9.9699999999999997E-2</v>
      </c>
      <c r="E10" s="1">
        <f t="shared" si="0"/>
        <v>0.12029999999999999</v>
      </c>
    </row>
    <row r="11" spans="2:5" x14ac:dyDescent="0.35">
      <c r="B11">
        <v>2022</v>
      </c>
      <c r="C11" s="1">
        <v>0.13539999999999999</v>
      </c>
      <c r="D11" s="1">
        <v>0.1043</v>
      </c>
      <c r="E11" s="1">
        <f t="shared" si="0"/>
        <v>0.11985</v>
      </c>
    </row>
    <row r="12" spans="2:5" x14ac:dyDescent="0.35">
      <c r="B12" t="s">
        <v>50</v>
      </c>
      <c r="C12" s="1">
        <f>AVERAGE(C6:C11)</f>
        <v>0.12909999999999999</v>
      </c>
      <c r="D12" s="1">
        <f>AVERAGE(D6:D11)</f>
        <v>0.10199999999999998</v>
      </c>
      <c r="E12" s="1">
        <f>AVERAGE(E6:E11)</f>
        <v>0.11555</v>
      </c>
    </row>
    <row r="13" spans="2:5" x14ac:dyDescent="0.35">
      <c r="B13" t="s">
        <v>49</v>
      </c>
      <c r="C13" s="1">
        <f>_xlfn.STDEV.S(C6:C11)</f>
        <v>2.6010920783394141E-2</v>
      </c>
      <c r="D13" s="1">
        <f>_xlfn.STDEV.S(D6:D11)</f>
        <v>5.9521424714131313E-3</v>
      </c>
      <c r="E13" s="1">
        <f>_xlfn.STDEV.S(E6:E11)</f>
        <v>1.5128383918978309E-2</v>
      </c>
    </row>
    <row r="14" spans="2:5" x14ac:dyDescent="0.35">
      <c r="D14" s="1"/>
      <c r="E14" s="1"/>
    </row>
    <row r="16" spans="2:5" x14ac:dyDescent="0.35">
      <c r="B16" t="s">
        <v>55</v>
      </c>
      <c r="C16" t="s">
        <v>60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0786BE-1BBB-471B-BB8E-81D54E349E96}"/>
</file>

<file path=customXml/itemProps2.xml><?xml version="1.0" encoding="utf-8"?>
<ds:datastoreItem xmlns:ds="http://schemas.openxmlformats.org/officeDocument/2006/customXml" ds:itemID="{EA1B90C0-5CAD-41C4-B3E4-C9EC55F08770}"/>
</file>

<file path=customXml/itemProps3.xml><?xml version="1.0" encoding="utf-8"?>
<ds:datastoreItem xmlns:ds="http://schemas.openxmlformats.org/officeDocument/2006/customXml" ds:itemID="{2D00ADCC-8B4E-47FC-9DE9-B884F6852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New Table 5</vt:lpstr>
      <vt:lpstr>Table 6</vt:lpstr>
      <vt:lpstr>'New Table 5'!_ftnref1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Windows User</dc:creator>
  <cp:lastModifiedBy>Smith-Bernard, Regena</cp:lastModifiedBy>
  <dcterms:created xsi:type="dcterms:W3CDTF">2023-04-12T20:46:05Z</dcterms:created>
  <dcterms:modified xsi:type="dcterms:W3CDTF">2023-05-02T19:58:52Z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